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rsonal Dr. Yousaf Iqbal\Personal Stuff\Physics department UPR\Marit lists Mphil PhD\"/>
    </mc:Choice>
  </mc:AlternateContent>
  <xr:revisionPtr revIDLastSave="0" documentId="13_ncr:1_{8303B0FF-F1BD-4931-944E-206545836057}" xr6:coauthVersionLast="47" xr6:coauthVersionMax="47" xr10:uidLastSave="{00000000-0000-0000-0000-000000000000}"/>
  <bookViews>
    <workbookView xWindow="-110" yWindow="-110" windowWidth="19420" windowHeight="10300" xr2:uid="{50EE4DEA-B7FF-4593-802C-6AE7C2B29819}"/>
  </bookViews>
  <sheets>
    <sheet name="Sheet1" sheetId="1" r:id="rId1"/>
  </sheets>
  <definedNames>
    <definedName name="_xlnm.Print_Area" localSheetId="0">Sheet1!$A$1:$N$67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J28" i="1"/>
  <c r="H28" i="1"/>
  <c r="G28" i="1"/>
  <c r="M28" i="1"/>
  <c r="I11" i="1"/>
  <c r="K11" i="1"/>
  <c r="M54" i="1"/>
  <c r="L54" i="1"/>
  <c r="K54" i="1"/>
  <c r="I54" i="1"/>
  <c r="H54" i="1"/>
  <c r="G54" i="1"/>
  <c r="G18" i="1"/>
  <c r="L11" i="1"/>
  <c r="G11" i="1"/>
  <c r="H11" i="1"/>
  <c r="L16" i="1"/>
  <c r="J16" i="1"/>
  <c r="H16" i="1"/>
  <c r="G16" i="1"/>
  <c r="L53" i="1"/>
  <c r="L48" i="1"/>
  <c r="K40" i="1"/>
  <c r="I40" i="1"/>
  <c r="L47" i="1"/>
  <c r="L21" i="1"/>
  <c r="H21" i="1"/>
  <c r="G21" i="1"/>
  <c r="K48" i="1"/>
  <c r="I48" i="1"/>
  <c r="H40" i="1"/>
  <c r="G40" i="1"/>
  <c r="H48" i="1"/>
  <c r="G48" i="1"/>
  <c r="J38" i="1"/>
  <c r="H38" i="1"/>
  <c r="G38" i="1"/>
  <c r="L29" i="1"/>
  <c r="J29" i="1"/>
  <c r="H29" i="1"/>
  <c r="G29" i="1"/>
  <c r="K53" i="1"/>
  <c r="I53" i="1"/>
  <c r="H53" i="1"/>
  <c r="G53" i="1"/>
  <c r="K47" i="1"/>
  <c r="I47" i="1"/>
  <c r="I46" i="1"/>
  <c r="H47" i="1"/>
  <c r="G47" i="1"/>
  <c r="L30" i="1"/>
  <c r="K30" i="1"/>
  <c r="I30" i="1"/>
  <c r="H30" i="1"/>
  <c r="G30" i="1"/>
  <c r="J41" i="1"/>
  <c r="J26" i="1"/>
  <c r="H26" i="1"/>
  <c r="G26" i="1"/>
  <c r="L44" i="1"/>
  <c r="J44" i="1"/>
  <c r="H44" i="1"/>
  <c r="G44" i="1"/>
  <c r="L46" i="1"/>
  <c r="K46" i="1"/>
  <c r="H46" i="1"/>
  <c r="G46" i="1"/>
  <c r="L52" i="1"/>
  <c r="K52" i="1"/>
  <c r="I52" i="1"/>
  <c r="H52" i="1"/>
  <c r="G52" i="1"/>
  <c r="L42" i="1"/>
  <c r="J42" i="1"/>
  <c r="H42" i="1"/>
  <c r="G42" i="1"/>
  <c r="K45" i="1"/>
  <c r="I45" i="1"/>
  <c r="H45" i="1"/>
  <c r="G45" i="1"/>
  <c r="J34" i="1"/>
  <c r="H34" i="1"/>
  <c r="G34" i="1"/>
  <c r="L34" i="1"/>
  <c r="L51" i="1"/>
  <c r="J51" i="1"/>
  <c r="H51" i="1"/>
  <c r="G51" i="1"/>
  <c r="L31" i="1"/>
  <c r="J31" i="1"/>
  <c r="H31" i="1"/>
  <c r="G31" i="1"/>
  <c r="J37" i="1"/>
  <c r="K24" i="1"/>
  <c r="J49" i="1"/>
  <c r="J27" i="1"/>
  <c r="J21" i="1"/>
  <c r="J18" i="1"/>
  <c r="J19" i="1"/>
  <c r="J25" i="1"/>
  <c r="J35" i="1"/>
  <c r="J17" i="1"/>
  <c r="J23" i="1"/>
  <c r="J20" i="1"/>
  <c r="J15" i="1"/>
  <c r="J13" i="1"/>
  <c r="J9" i="1"/>
  <c r="J10" i="1"/>
  <c r="J7" i="1"/>
  <c r="J8" i="1"/>
  <c r="J22" i="1"/>
  <c r="J12" i="1"/>
  <c r="H13" i="1"/>
  <c r="L50" i="1"/>
  <c r="K50" i="1"/>
  <c r="I50" i="1"/>
  <c r="H50" i="1"/>
  <c r="G50" i="1"/>
  <c r="L36" i="1"/>
  <c r="J36" i="1"/>
  <c r="H36" i="1"/>
  <c r="G36" i="1"/>
  <c r="L39" i="1"/>
  <c r="J39" i="1"/>
  <c r="H39" i="1"/>
  <c r="G39" i="1"/>
  <c r="L8" i="1"/>
  <c r="H8" i="1"/>
  <c r="G8" i="1"/>
  <c r="L32" i="1"/>
  <c r="J32" i="1"/>
  <c r="H32" i="1"/>
  <c r="G32" i="1"/>
  <c r="L41" i="1"/>
  <c r="H41" i="1"/>
  <c r="G41" i="1"/>
  <c r="L25" i="1"/>
  <c r="H25" i="1"/>
  <c r="G19" i="1"/>
  <c r="L24" i="1"/>
  <c r="I24" i="1"/>
  <c r="H24" i="1"/>
  <c r="G24" i="1"/>
  <c r="L14" i="1"/>
  <c r="K14" i="1"/>
  <c r="I14" i="1"/>
  <c r="H14" i="1"/>
  <c r="G14" i="1"/>
  <c r="L23" i="1"/>
  <c r="H23" i="1"/>
  <c r="G23" i="1"/>
  <c r="L33" i="1"/>
  <c r="K33" i="1"/>
  <c r="I33" i="1"/>
  <c r="H33" i="1"/>
  <c r="G33" i="1"/>
  <c r="L27" i="1"/>
  <c r="H27" i="1"/>
  <c r="G27" i="1"/>
  <c r="L12" i="1"/>
  <c r="H12" i="1"/>
  <c r="G12" i="1"/>
  <c r="L22" i="1"/>
  <c r="H22" i="1"/>
  <c r="G22" i="1"/>
  <c r="L10" i="1"/>
  <c r="H10" i="1"/>
  <c r="G10" i="1"/>
  <c r="G25" i="1"/>
  <c r="L9" i="1"/>
  <c r="H9" i="1"/>
  <c r="G9" i="1"/>
  <c r="L43" i="1"/>
  <c r="J43" i="1"/>
  <c r="H43" i="1"/>
  <c r="G43" i="1"/>
  <c r="L49" i="1"/>
  <c r="H49" i="1"/>
  <c r="G49" i="1"/>
  <c r="L17" i="1"/>
  <c r="H17" i="1"/>
  <c r="G17" i="1"/>
  <c r="L55" i="1"/>
  <c r="H55" i="1"/>
  <c r="G55" i="1"/>
  <c r="L37" i="1"/>
  <c r="H37" i="1"/>
  <c r="G37" i="1"/>
  <c r="L26" i="1"/>
  <c r="L45" i="1"/>
  <c r="L40" i="1"/>
  <c r="L13" i="1"/>
  <c r="G13" i="1"/>
  <c r="L35" i="1"/>
  <c r="H35" i="1"/>
  <c r="G35" i="1"/>
  <c r="L15" i="1"/>
  <c r="H15" i="1"/>
  <c r="G15" i="1"/>
  <c r="L20" i="1"/>
  <c r="H20" i="1"/>
  <c r="G20" i="1"/>
  <c r="H18" i="1"/>
  <c r="L7" i="1"/>
  <c r="L19" i="1"/>
  <c r="L18" i="1"/>
  <c r="H7" i="1"/>
  <c r="G7" i="1"/>
  <c r="H19" i="1"/>
  <c r="M50" i="1" l="1"/>
  <c r="M47" i="1"/>
  <c r="M39" i="1"/>
  <c r="M51" i="1"/>
  <c r="M45" i="1"/>
  <c r="M26" i="1"/>
  <c r="M48" i="1"/>
  <c r="M53" i="1"/>
  <c r="M40" i="1"/>
  <c r="M41" i="1"/>
  <c r="M23" i="1"/>
  <c r="M37" i="1"/>
  <c r="M44" i="1"/>
  <c r="M38" i="1"/>
  <c r="M31" i="1"/>
  <c r="M52" i="1"/>
  <c r="M32" i="1"/>
  <c r="M24" i="1"/>
  <c r="M43" i="1"/>
  <c r="M49" i="1"/>
  <c r="M46" i="1"/>
  <c r="M35" i="1"/>
  <c r="M19" i="1"/>
  <c r="M7" i="1"/>
  <c r="M15" i="1"/>
  <c r="M9" i="1"/>
  <c r="M42" i="1"/>
  <c r="M11" i="1"/>
  <c r="M33" i="1"/>
  <c r="M29" i="1"/>
  <c r="M18" i="1"/>
  <c r="M17" i="1"/>
  <c r="M30" i="1"/>
  <c r="M20" i="1"/>
  <c r="M13" i="1"/>
  <c r="M25" i="1"/>
  <c r="M21" i="1"/>
  <c r="M27" i="1"/>
  <c r="M14" i="1"/>
  <c r="M36" i="1"/>
  <c r="M16" i="1"/>
  <c r="M34" i="1"/>
  <c r="M8" i="1"/>
  <c r="M10" i="1"/>
  <c r="M55" i="1"/>
  <c r="M12" i="1"/>
  <c r="M22" i="1"/>
  <c r="M88" i="1"/>
  <c r="N87" i="1"/>
  <c r="L88" i="1"/>
  <c r="J88" i="1"/>
  <c r="I88" i="1"/>
  <c r="H88" i="1"/>
  <c r="N88" i="1" l="1"/>
</calcChain>
</file>

<file path=xl/sharedStrings.xml><?xml version="1.0" encoding="utf-8"?>
<sst xmlns="http://schemas.openxmlformats.org/spreadsheetml/2006/main" count="267" uniqueCount="127">
  <si>
    <t>Sr. No</t>
  </si>
  <si>
    <t>Name</t>
  </si>
  <si>
    <t>Father name</t>
  </si>
  <si>
    <t>Sex</t>
  </si>
  <si>
    <t>Domicile</t>
  </si>
  <si>
    <t>SSC (10%)</t>
  </si>
  <si>
    <t>HSSC (15%)</t>
  </si>
  <si>
    <t>B.Sc (15%)</t>
  </si>
  <si>
    <t>BS (35%)</t>
  </si>
  <si>
    <t>M.Sc(20%)</t>
  </si>
  <si>
    <t>GRE (40%)</t>
  </si>
  <si>
    <t>Merit (100%)</t>
  </si>
  <si>
    <t>Merit Status</t>
  </si>
  <si>
    <t>F</t>
  </si>
  <si>
    <t>Sudhnoti</t>
  </si>
  <si>
    <t>On Merit</t>
  </si>
  <si>
    <t>Poonch</t>
  </si>
  <si>
    <t>M</t>
  </si>
  <si>
    <t>Bagh</t>
  </si>
  <si>
    <t>Admission Committee</t>
  </si>
  <si>
    <t>1. ____________________</t>
  </si>
  <si>
    <t>2.____________________</t>
  </si>
  <si>
    <t>3.____________________</t>
  </si>
  <si>
    <t>Farzana Kausar</t>
  </si>
  <si>
    <t>Muhammad Bashir Khan</t>
  </si>
  <si>
    <t>Sakhawat Hussain</t>
  </si>
  <si>
    <t>On Waiting</t>
  </si>
  <si>
    <t>University of Poonch Rawalakot</t>
  </si>
  <si>
    <t>Sadia Sadiq</t>
  </si>
  <si>
    <t>Muhammad Sadiq Khan</t>
  </si>
  <si>
    <t>Adeen Moazzam</t>
  </si>
  <si>
    <t>Moneeba Imtiaz</t>
  </si>
  <si>
    <t>sajal naeem</t>
  </si>
  <si>
    <t>Areej Hameed</t>
  </si>
  <si>
    <t>Bilqees Fatima</t>
  </si>
  <si>
    <t>Subkha Khan</t>
  </si>
  <si>
    <t>Raveen Saghir</t>
  </si>
  <si>
    <t>Abdul Wajid</t>
  </si>
  <si>
    <t>saliha noor</t>
  </si>
  <si>
    <t>Aliza Aslam</t>
  </si>
  <si>
    <t>Marzooq Imtiaz</t>
  </si>
  <si>
    <t>Rabia Mazhar</t>
  </si>
  <si>
    <t>Hina Riaz</t>
  </si>
  <si>
    <t>noor ui-emanbinatarsh</t>
  </si>
  <si>
    <t>Zeeshan Sharif</t>
  </si>
  <si>
    <t>Aimen Nadeem</t>
  </si>
  <si>
    <t>Huma Sabir</t>
  </si>
  <si>
    <t>Taskeen Javed</t>
  </si>
  <si>
    <t>Taiba Kanwal</t>
  </si>
  <si>
    <t>Muneeba Faraz</t>
  </si>
  <si>
    <t>Fariha Manzoor</t>
  </si>
  <si>
    <t>sajila habib</t>
  </si>
  <si>
    <t>Nosheen Taj</t>
  </si>
  <si>
    <t>Khizra Riaz</t>
  </si>
  <si>
    <t>Zoya Fiaz</t>
  </si>
  <si>
    <t>Uzair Iftikhar</t>
  </si>
  <si>
    <t>Ayesha Hira</t>
  </si>
  <si>
    <t>Maria Ibrahim</t>
  </si>
  <si>
    <t>Abdul Majid</t>
  </si>
  <si>
    <t>Muqadis Asif</t>
  </si>
  <si>
    <t>Saqib Kaleem</t>
  </si>
  <si>
    <t>Inam Ali Shoukat</t>
  </si>
  <si>
    <t>Javeria Mujeed</t>
  </si>
  <si>
    <t>Sufian Saleh Muhammad</t>
  </si>
  <si>
    <t>Jawaria Arif</t>
  </si>
  <si>
    <t>Shehnaz Khanam</t>
  </si>
  <si>
    <t>Khanzadi atia Asif</t>
  </si>
  <si>
    <t>Mahpara Manzoor</t>
  </si>
  <si>
    <t>Sughra Mumtaz</t>
  </si>
  <si>
    <t>Abida Shabbir</t>
  </si>
  <si>
    <t>Majid Rasheed</t>
  </si>
  <si>
    <t>Shaheen Arif</t>
  </si>
  <si>
    <t>Saqib Farid</t>
  </si>
  <si>
    <t>Moazzam Aziz</t>
  </si>
  <si>
    <t>Imtiaz Ahmed</t>
  </si>
  <si>
    <t>muhammad naeem khan</t>
  </si>
  <si>
    <t>Hafeez Ahmed</t>
  </si>
  <si>
    <t>Talib Hussain</t>
  </si>
  <si>
    <t>Saghir Ahmad Khan</t>
  </si>
  <si>
    <t>Abdul Kareem</t>
  </si>
  <si>
    <t>taqeer ahmed</t>
  </si>
  <si>
    <t>Muhammad Aslam Khan</t>
  </si>
  <si>
    <t>Muhammad Imtiaz Khan</t>
  </si>
  <si>
    <t>Riaz Ahmed Khan Kiani</t>
  </si>
  <si>
    <t>arshad iqbal</t>
  </si>
  <si>
    <t>Muhammad sharif Khan</t>
  </si>
  <si>
    <t>Nadeem Akram</t>
  </si>
  <si>
    <t>Sabir Hussain</t>
  </si>
  <si>
    <t>Javed Iqbal</t>
  </si>
  <si>
    <t>Mazhar Iqbal</t>
  </si>
  <si>
    <t>Muhammad Faraz Khan</t>
  </si>
  <si>
    <t>Manzoor Hussain</t>
  </si>
  <si>
    <t>muhammad habib</t>
  </si>
  <si>
    <t>Taj Muhammad Khan</t>
  </si>
  <si>
    <t>Riaz Ahmed</t>
  </si>
  <si>
    <t>Muhammad Fiaz Khan</t>
  </si>
  <si>
    <t>Iftikhar Ahmed</t>
  </si>
  <si>
    <t>Ejaz Hussain Khan</t>
  </si>
  <si>
    <t>Muhammad Ibrahim</t>
  </si>
  <si>
    <t>Abdul Majeed</t>
  </si>
  <si>
    <t>Muhammad Asif</t>
  </si>
  <si>
    <t>Abdul Mujeed</t>
  </si>
  <si>
    <t>Saleh Muhammad</t>
  </si>
  <si>
    <t>Muhammad Arif Khan</t>
  </si>
  <si>
    <t>Mangoo Khan</t>
  </si>
  <si>
    <t>Manzoor Ahmed</t>
  </si>
  <si>
    <t>Muhammad Mumtaz</t>
  </si>
  <si>
    <t>Shabbir Khan</t>
  </si>
  <si>
    <t>Muhammad Rasheed</t>
  </si>
  <si>
    <t>Muhammad Farid</t>
  </si>
  <si>
    <t>Form no</t>
  </si>
  <si>
    <t>Muqaddas Imtiaz</t>
  </si>
  <si>
    <t>not eligible</t>
  </si>
  <si>
    <t>M-Phil Program (Admission Fall 2023)</t>
  </si>
  <si>
    <t>Muhammad Mezhar</t>
  </si>
  <si>
    <t>Muhammad Ashfaq</t>
  </si>
  <si>
    <t>Zunaira M. ashfaq</t>
  </si>
  <si>
    <t>Muhd Kaleem Khan</t>
  </si>
  <si>
    <t>Sardar muhd asif Khan</t>
  </si>
  <si>
    <t>Muhd Shoukat Khan</t>
  </si>
  <si>
    <t>Sardar Muhd Arif Khan</t>
  </si>
  <si>
    <t>Abdul hameed khan</t>
  </si>
  <si>
    <t>Amna Naz</t>
  </si>
  <si>
    <t>Muhammad Hussain</t>
  </si>
  <si>
    <t>Saima Bashir</t>
  </si>
  <si>
    <t>Fee submission last date: 10th November, 2023</t>
  </si>
  <si>
    <t>1st Marit list (M.Phil PHYSICS)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</si>
</sst>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/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ill="1"/>
    <xf numFmtId="0" fontId="6" fillId="0" borderId="0" xfId="0" applyFont="1" applyFill="1" applyAlignment="1">
      <alignment wrapText="1"/>
    </xf>
    <xf numFmtId="0" fontId="0" fillId="0" borderId="0" xfId="0" applyFill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1" fillId="2" borderId="0" xfId="0" applyFont="1" applyFill="1"/>
    <xf numFmtId="0" fontId="9" fillId="2" borderId="0" xfId="0" applyFont="1" applyFill="1" applyAlignment="1">
      <alignment wrapText="1"/>
    </xf>
    <xf numFmtId="0" fontId="10" fillId="2" borderId="0" xfId="0" applyFont="1" applyFill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1" fillId="3" borderId="1" xfId="0" applyFont="1" applyFill="1" applyBorder="1"/>
    <xf numFmtId="0" fontId="1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1DE2-85CE-4DCC-A724-45C101C9E7CD}">
  <dimension ref="A1:Q95"/>
  <sheetViews>
    <sheetView tabSelected="1" view="pageLayout" topLeftCell="A48" zoomScaleNormal="40" zoomScaleSheetLayoutView="70" workbookViewId="0">
      <selection activeCell="E59" sqref="E59"/>
    </sheetView>
  </sheetViews>
  <sheetFormatPr defaultRowHeight="14.5" x14ac:dyDescent="0.35"/>
  <cols>
    <col min="1" max="1" width="6.81640625" customWidth="1"/>
    <col min="2" max="2" width="9.81640625" style="7" customWidth="1"/>
    <col min="3" max="3" width="25" customWidth="1"/>
    <col min="4" max="4" width="30.7265625" customWidth="1"/>
    <col min="5" max="5" width="8.7265625" customWidth="1"/>
    <col min="6" max="6" width="11.81640625" customWidth="1"/>
    <col min="7" max="7" width="13.453125" customWidth="1"/>
    <col min="8" max="8" width="15.54296875" customWidth="1"/>
    <col min="9" max="9" width="13.1796875" customWidth="1"/>
    <col min="10" max="10" width="11.90625" customWidth="1"/>
    <col min="11" max="11" width="15.26953125" customWidth="1"/>
    <col min="12" max="12" width="14.26953125" customWidth="1"/>
    <col min="13" max="13" width="16.54296875" customWidth="1"/>
    <col min="14" max="14" width="17.6328125" customWidth="1"/>
    <col min="15" max="15" width="0.26953125" customWidth="1"/>
  </cols>
  <sheetData>
    <row r="1" spans="1:17" ht="17.5" x14ac:dyDescent="0.35">
      <c r="A1" s="11" t="s">
        <v>27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17.5" x14ac:dyDescent="0.35">
      <c r="A2" s="11" t="s">
        <v>126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7" ht="17.5" x14ac:dyDescent="0.35">
      <c r="A3" s="11" t="s">
        <v>113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7" ht="17.5" x14ac:dyDescent="0.35">
      <c r="A4" s="11" t="s">
        <v>125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5"/>
    </row>
    <row r="5" spans="1:17" ht="17.5" x14ac:dyDescent="0.35">
      <c r="A5" s="2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7" ht="17.5" x14ac:dyDescent="0.35">
      <c r="A6" s="6" t="s">
        <v>0</v>
      </c>
      <c r="B6" s="6" t="s">
        <v>110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</row>
    <row r="7" spans="1:17" ht="20.5" x14ac:dyDescent="0.45">
      <c r="A7" s="18">
        <v>1</v>
      </c>
      <c r="B7" s="18">
        <v>14733</v>
      </c>
      <c r="C7" s="29" t="s">
        <v>30</v>
      </c>
      <c r="D7" s="29" t="s">
        <v>73</v>
      </c>
      <c r="E7" s="24" t="s">
        <v>13</v>
      </c>
      <c r="F7" s="25" t="s">
        <v>16</v>
      </c>
      <c r="G7" s="24">
        <f>(((1008/1100)*100)*0.1)</f>
        <v>9.163636363636364</v>
      </c>
      <c r="H7" s="24">
        <f>(((992/1100)*100)*0.15)</f>
        <v>13.527272727272727</v>
      </c>
      <c r="I7" s="24"/>
      <c r="J7" s="24">
        <f>(81.3*0.35)</f>
        <v>28.454999999999998</v>
      </c>
      <c r="K7" s="24"/>
      <c r="L7" s="25">
        <f>69*0.4</f>
        <v>27.6</v>
      </c>
      <c r="M7" s="24">
        <f>G7+H7+I7+J7+K7+L7</f>
        <v>78.745909090909095</v>
      </c>
      <c r="N7" s="25" t="s">
        <v>15</v>
      </c>
    </row>
    <row r="8" spans="1:17" ht="20.5" x14ac:dyDescent="0.45">
      <c r="A8" s="18">
        <v>2</v>
      </c>
      <c r="B8" s="18">
        <v>14380</v>
      </c>
      <c r="C8" s="29" t="s">
        <v>38</v>
      </c>
      <c r="D8" s="29" t="s">
        <v>80</v>
      </c>
      <c r="E8" s="25" t="s">
        <v>13</v>
      </c>
      <c r="F8" s="25" t="s">
        <v>16</v>
      </c>
      <c r="G8" s="25">
        <f>(((940/1100)*100)*0.1)</f>
        <v>8.545454545454545</v>
      </c>
      <c r="H8" s="25">
        <f>(((865/1100)*100)*0.15)</f>
        <v>11.795454545454545</v>
      </c>
      <c r="I8" s="25"/>
      <c r="J8" s="25">
        <f>(84.4*0.35)</f>
        <v>29.54</v>
      </c>
      <c r="K8" s="25"/>
      <c r="L8" s="25">
        <f>70*0.4</f>
        <v>28</v>
      </c>
      <c r="M8" s="25">
        <f>G8+H8+I8+J8+K8+L8</f>
        <v>77.880909090909086</v>
      </c>
      <c r="N8" s="25" t="s">
        <v>15</v>
      </c>
      <c r="Q8" s="13"/>
    </row>
    <row r="9" spans="1:17" ht="22" customHeight="1" x14ac:dyDescent="0.45">
      <c r="A9" s="18">
        <v>3</v>
      </c>
      <c r="B9" s="18">
        <v>14377</v>
      </c>
      <c r="C9" s="29" t="s">
        <v>32</v>
      </c>
      <c r="D9" s="29" t="s">
        <v>75</v>
      </c>
      <c r="E9" s="25" t="s">
        <v>13</v>
      </c>
      <c r="F9" s="25" t="s">
        <v>16</v>
      </c>
      <c r="G9" s="25">
        <f>(((964/1100)*100)*0.1)</f>
        <v>8.7636363636363637</v>
      </c>
      <c r="H9" s="25">
        <f>(((905/1100)*100)*0.15)</f>
        <v>12.340909090909092</v>
      </c>
      <c r="I9" s="25"/>
      <c r="J9" s="24">
        <f>(85*0.35)</f>
        <v>29.749999999999996</v>
      </c>
      <c r="K9" s="25"/>
      <c r="L9" s="25">
        <f>67*0.4</f>
        <v>26.8</v>
      </c>
      <c r="M9" s="25">
        <f>G9+H9+I9+J9+K9+L9</f>
        <v>77.654545454545456</v>
      </c>
      <c r="N9" s="24" t="s">
        <v>15</v>
      </c>
      <c r="Q9" s="13"/>
    </row>
    <row r="10" spans="1:17" s="15" customFormat="1" ht="20.5" x14ac:dyDescent="0.45">
      <c r="A10" s="18">
        <v>4</v>
      </c>
      <c r="B10" s="18">
        <v>14363</v>
      </c>
      <c r="C10" s="29" t="s">
        <v>31</v>
      </c>
      <c r="D10" s="29" t="s">
        <v>74</v>
      </c>
      <c r="E10" s="25" t="s">
        <v>13</v>
      </c>
      <c r="F10" s="25" t="s">
        <v>16</v>
      </c>
      <c r="G10" s="25">
        <f>(((1024/1100)*100)*0.1)</f>
        <v>9.3090909090909104</v>
      </c>
      <c r="H10" s="25">
        <f>(((968/1100)*100)*0.15)</f>
        <v>13.2</v>
      </c>
      <c r="I10" s="25"/>
      <c r="J10" s="24">
        <f>(78.6*0.35)</f>
        <v>27.509999999999998</v>
      </c>
      <c r="K10" s="25"/>
      <c r="L10" s="25">
        <f>68*0.4</f>
        <v>27.200000000000003</v>
      </c>
      <c r="M10" s="25">
        <f>G10+H10+I10+J10+K10+L10</f>
        <v>77.219090909090909</v>
      </c>
      <c r="N10" s="25" t="s">
        <v>15</v>
      </c>
      <c r="Q10" s="14"/>
    </row>
    <row r="11" spans="1:17" s="15" customFormat="1" ht="20.5" x14ac:dyDescent="0.45">
      <c r="A11" s="18">
        <v>5</v>
      </c>
      <c r="B11" s="18">
        <v>14605</v>
      </c>
      <c r="C11" s="29" t="s">
        <v>44</v>
      </c>
      <c r="D11" s="29" t="s">
        <v>85</v>
      </c>
      <c r="E11" s="25" t="s">
        <v>17</v>
      </c>
      <c r="F11" s="25" t="s">
        <v>18</v>
      </c>
      <c r="G11" s="25">
        <f>(((803/1050)*100)*0.1)</f>
        <v>7.6476190476190489</v>
      </c>
      <c r="H11" s="25">
        <f>(((793/1100)*100)*0.15)</f>
        <v>10.813636363636364</v>
      </c>
      <c r="I11" s="25">
        <f>(((597/900)*100)*0.15)</f>
        <v>9.9499999999999993</v>
      </c>
      <c r="J11" s="25"/>
      <c r="K11" s="25">
        <f>(85.1*0.2)</f>
        <v>17.02</v>
      </c>
      <c r="L11" s="25">
        <f>74*0.4</f>
        <v>29.6</v>
      </c>
      <c r="M11" s="25">
        <f>G11+H11+I11+J11+K11+L11</f>
        <v>75.031255411255415</v>
      </c>
      <c r="N11" s="25" t="s">
        <v>15</v>
      </c>
      <c r="Q11" s="14"/>
    </row>
    <row r="12" spans="1:17" ht="24" customHeight="1" x14ac:dyDescent="0.45">
      <c r="A12" s="18">
        <v>6</v>
      </c>
      <c r="B12" s="18">
        <v>14394</v>
      </c>
      <c r="C12" s="29" t="s">
        <v>34</v>
      </c>
      <c r="D12" s="29" t="s">
        <v>76</v>
      </c>
      <c r="E12" s="25" t="s">
        <v>13</v>
      </c>
      <c r="F12" s="25" t="s">
        <v>16</v>
      </c>
      <c r="G12" s="25">
        <f>(((897/1100)*100)*0.1)</f>
        <v>8.1545454545454543</v>
      </c>
      <c r="H12" s="25">
        <f>(((888/1100)*100)*0.15)</f>
        <v>12.109090909090908</v>
      </c>
      <c r="I12" s="25"/>
      <c r="J12" s="24">
        <f>(76.5*0.35)</f>
        <v>26.774999999999999</v>
      </c>
      <c r="K12" s="25"/>
      <c r="L12" s="25">
        <f>62*0.4</f>
        <v>24.8</v>
      </c>
      <c r="M12" s="25">
        <f>G12+H12+I12+J12+K12+L12</f>
        <v>71.838636363636354</v>
      </c>
      <c r="N12" s="25" t="s">
        <v>15</v>
      </c>
      <c r="Q12" s="13"/>
    </row>
    <row r="13" spans="1:17" s="15" customFormat="1" ht="20.5" x14ac:dyDescent="0.45">
      <c r="A13" s="18">
        <v>7</v>
      </c>
      <c r="B13" s="18">
        <v>14529</v>
      </c>
      <c r="C13" s="29" t="s">
        <v>35</v>
      </c>
      <c r="D13" s="29" t="s">
        <v>77</v>
      </c>
      <c r="E13" s="25" t="s">
        <v>13</v>
      </c>
      <c r="F13" s="25" t="s">
        <v>16</v>
      </c>
      <c r="G13" s="25">
        <f>(((1018/1100)*100)*0.1)</f>
        <v>9.2545454545454557</v>
      </c>
      <c r="H13" s="24">
        <f>(((880/1100)*100)*0.15)</f>
        <v>12</v>
      </c>
      <c r="I13" s="26"/>
      <c r="J13" s="25">
        <f>(75.3*0.35)</f>
        <v>26.354999999999997</v>
      </c>
      <c r="K13" s="26"/>
      <c r="L13" s="25">
        <f>59*0.4</f>
        <v>23.6</v>
      </c>
      <c r="M13" s="25">
        <f>G13+H13+I13+J13+K13+L13</f>
        <v>71.209545454545463</v>
      </c>
      <c r="N13" s="25" t="s">
        <v>15</v>
      </c>
      <c r="Q13" s="14"/>
    </row>
    <row r="14" spans="1:17" ht="20.5" x14ac:dyDescent="0.45">
      <c r="A14" s="18">
        <v>8</v>
      </c>
      <c r="B14" s="18">
        <v>14203</v>
      </c>
      <c r="C14" s="29" t="s">
        <v>37</v>
      </c>
      <c r="D14" s="29" t="s">
        <v>79</v>
      </c>
      <c r="E14" s="25" t="s">
        <v>17</v>
      </c>
      <c r="F14" s="25" t="s">
        <v>16</v>
      </c>
      <c r="G14" s="25">
        <f>(((814/1050)*100)*0.1)</f>
        <v>7.7523809523809533</v>
      </c>
      <c r="H14" s="25">
        <f>(((868/1100)*100)*0.15)</f>
        <v>11.836363636363636</v>
      </c>
      <c r="I14" s="25">
        <f>(((569/900)*100)*0.15)</f>
        <v>9.4833333333333325</v>
      </c>
      <c r="J14" s="25"/>
      <c r="K14" s="25">
        <f>(((2518/3350)*100)*0.2)</f>
        <v>15.032835820895523</v>
      </c>
      <c r="L14" s="25">
        <f>66*0.4</f>
        <v>26.400000000000002</v>
      </c>
      <c r="M14" s="25">
        <f>G14+H14+I14+J14+K14+L14</f>
        <v>70.504913742973443</v>
      </c>
      <c r="N14" s="25" t="s">
        <v>15</v>
      </c>
      <c r="Q14" s="13"/>
    </row>
    <row r="15" spans="1:17" s="21" customFormat="1" ht="20.5" x14ac:dyDescent="0.45">
      <c r="A15" s="18">
        <v>9</v>
      </c>
      <c r="B15" s="18">
        <v>14360</v>
      </c>
      <c r="C15" s="29" t="s">
        <v>36</v>
      </c>
      <c r="D15" s="29" t="s">
        <v>78</v>
      </c>
      <c r="E15" s="24" t="s">
        <v>13</v>
      </c>
      <c r="F15" s="25" t="s">
        <v>16</v>
      </c>
      <c r="G15" s="24">
        <f>(((980/1100)*100)*0.1)</f>
        <v>8.9090909090909101</v>
      </c>
      <c r="H15" s="24">
        <f>(((872/1100)*100)*0.15)</f>
        <v>11.890909090909089</v>
      </c>
      <c r="I15" s="24"/>
      <c r="J15" s="25">
        <f>(76.5*0.35)</f>
        <v>26.774999999999999</v>
      </c>
      <c r="K15" s="24"/>
      <c r="L15" s="25">
        <f>55*0.4</f>
        <v>22</v>
      </c>
      <c r="M15" s="24">
        <f>G15+H15+I15+J15+K15+L15</f>
        <v>69.574999999999989</v>
      </c>
      <c r="N15" s="25" t="s">
        <v>15</v>
      </c>
      <c r="Q15" s="20"/>
    </row>
    <row r="16" spans="1:17" s="17" customFormat="1" ht="20.5" x14ac:dyDescent="0.45">
      <c r="A16" s="18">
        <v>10</v>
      </c>
      <c r="B16" s="18">
        <v>14231</v>
      </c>
      <c r="C16" s="29" t="s">
        <v>33</v>
      </c>
      <c r="D16" s="29" t="s">
        <v>121</v>
      </c>
      <c r="E16" s="25" t="s">
        <v>13</v>
      </c>
      <c r="F16" s="25" t="s">
        <v>16</v>
      </c>
      <c r="G16" s="24">
        <f>(((975/1100)*100)*0.1)</f>
        <v>8.8636363636363651</v>
      </c>
      <c r="H16" s="24">
        <f>(((888/1100)*100)*0.15)</f>
        <v>12.109090909090908</v>
      </c>
      <c r="I16" s="24"/>
      <c r="J16" s="24">
        <f>(((3794/4800)*100)*0.35)</f>
        <v>27.664583333333333</v>
      </c>
      <c r="K16" s="24"/>
      <c r="L16" s="25">
        <f>51*0.4</f>
        <v>20.400000000000002</v>
      </c>
      <c r="M16" s="25">
        <f>G16+H16+I16+J16+K16+L16</f>
        <v>69.037310606060615</v>
      </c>
      <c r="N16" s="25" t="s">
        <v>15</v>
      </c>
      <c r="Q16" s="16"/>
    </row>
    <row r="17" spans="1:17" s="15" customFormat="1" ht="20.5" x14ac:dyDescent="0.45">
      <c r="A17" s="18">
        <v>11</v>
      </c>
      <c r="B17" s="18">
        <v>14422</v>
      </c>
      <c r="C17" s="29" t="s">
        <v>41</v>
      </c>
      <c r="D17" s="29" t="s">
        <v>114</v>
      </c>
      <c r="E17" s="25" t="s">
        <v>13</v>
      </c>
      <c r="F17" s="25" t="s">
        <v>16</v>
      </c>
      <c r="G17" s="25">
        <f>(((946/1100)*100)*0.1)</f>
        <v>8.6</v>
      </c>
      <c r="H17" s="25">
        <f>(((832/1100)*100)*0.15)</f>
        <v>11.345454545454546</v>
      </c>
      <c r="I17" s="25"/>
      <c r="J17" s="25">
        <f>74.9*0.35</f>
        <v>26.215</v>
      </c>
      <c r="K17" s="25"/>
      <c r="L17" s="25">
        <f>56*0.4</f>
        <v>22.400000000000002</v>
      </c>
      <c r="M17" s="25">
        <f>G17+H17+I17+J17+K17+L17</f>
        <v>68.560454545454547</v>
      </c>
      <c r="N17" s="25" t="s">
        <v>15</v>
      </c>
      <c r="Q17" s="14"/>
    </row>
    <row r="18" spans="1:17" s="15" customFormat="1" ht="20.5" x14ac:dyDescent="0.45">
      <c r="A18" s="18">
        <v>12</v>
      </c>
      <c r="B18" s="18">
        <v>14224</v>
      </c>
      <c r="C18" s="29" t="s">
        <v>48</v>
      </c>
      <c r="D18" s="29" t="s">
        <v>89</v>
      </c>
      <c r="E18" s="25" t="s">
        <v>13</v>
      </c>
      <c r="F18" s="25" t="s">
        <v>16</v>
      </c>
      <c r="G18" s="25">
        <f>(((943/1100)*100)*0.1)</f>
        <v>8.5727272727272741</v>
      </c>
      <c r="H18" s="25">
        <f>(((715/1100)*100)*0.15)</f>
        <v>9.75</v>
      </c>
      <c r="I18" s="25"/>
      <c r="J18" s="25">
        <f>68.4*0.35</f>
        <v>23.94</v>
      </c>
      <c r="K18" s="25"/>
      <c r="L18" s="25">
        <f>63*0.4</f>
        <v>25.200000000000003</v>
      </c>
      <c r="M18" s="25">
        <f>G18+H18+I18+J18+K18+L18</f>
        <v>67.462727272727278</v>
      </c>
      <c r="N18" s="25" t="s">
        <v>15</v>
      </c>
      <c r="O18" s="21"/>
      <c r="Q18" s="14"/>
    </row>
    <row r="19" spans="1:17" ht="20.5" x14ac:dyDescent="0.45">
      <c r="A19" s="18">
        <v>13</v>
      </c>
      <c r="B19" s="18">
        <v>14329</v>
      </c>
      <c r="C19" s="29" t="s">
        <v>47</v>
      </c>
      <c r="D19" s="29" t="s">
        <v>88</v>
      </c>
      <c r="E19" s="24" t="s">
        <v>17</v>
      </c>
      <c r="F19" s="25" t="s">
        <v>16</v>
      </c>
      <c r="G19" s="24">
        <f>(((807/1100)*100)*0.1)</f>
        <v>7.336363636363636</v>
      </c>
      <c r="H19" s="24">
        <f>(((636/1100)*100)*0.15)</f>
        <v>8.672727272727272</v>
      </c>
      <c r="I19" s="24"/>
      <c r="J19" s="25">
        <f>(73.1*0.35)</f>
        <v>25.584999999999997</v>
      </c>
      <c r="K19" s="24"/>
      <c r="L19" s="25">
        <f>63*0.4</f>
        <v>25.200000000000003</v>
      </c>
      <c r="M19" s="24">
        <f>G19+H19+I19+J19+K19+L19</f>
        <v>66.794090909090912</v>
      </c>
      <c r="N19" s="25" t="s">
        <v>15</v>
      </c>
      <c r="Q19" s="13"/>
    </row>
    <row r="20" spans="1:17" s="15" customFormat="1" ht="24" customHeight="1" x14ac:dyDescent="0.45">
      <c r="A20" s="18">
        <v>14</v>
      </c>
      <c r="B20" s="18">
        <v>14762</v>
      </c>
      <c r="C20" s="29" t="s">
        <v>39</v>
      </c>
      <c r="D20" s="29" t="s">
        <v>81</v>
      </c>
      <c r="E20" s="25" t="s">
        <v>13</v>
      </c>
      <c r="F20" s="25" t="s">
        <v>16</v>
      </c>
      <c r="G20" s="25">
        <f>(((882/1100)*100)*0.1)</f>
        <v>8.0181818181818176</v>
      </c>
      <c r="H20" s="25">
        <f>(((841/1100)*100)*0.15)</f>
        <v>11.468181818181817</v>
      </c>
      <c r="I20" s="25"/>
      <c r="J20" s="25">
        <f>70.9*0.35</f>
        <v>24.815000000000001</v>
      </c>
      <c r="K20" s="25"/>
      <c r="L20" s="25">
        <f>56*0.4</f>
        <v>22.400000000000002</v>
      </c>
      <c r="M20" s="25">
        <f>G20+H20+I20+J20+K20+L20</f>
        <v>66.701363636363638</v>
      </c>
      <c r="N20" s="25" t="s">
        <v>15</v>
      </c>
      <c r="Q20" s="14"/>
    </row>
    <row r="21" spans="1:17" s="15" customFormat="1" ht="20.5" x14ac:dyDescent="0.45">
      <c r="A21" s="18">
        <v>15</v>
      </c>
      <c r="B21" s="18">
        <v>14465</v>
      </c>
      <c r="C21" s="29" t="s">
        <v>116</v>
      </c>
      <c r="D21" s="29" t="s">
        <v>115</v>
      </c>
      <c r="E21" s="25" t="s">
        <v>13</v>
      </c>
      <c r="F21" s="25" t="s">
        <v>16</v>
      </c>
      <c r="G21" s="25">
        <f>(((798/1100)*100)*0.1)</f>
        <v>7.2545454545454549</v>
      </c>
      <c r="H21" s="25">
        <f>(((701/1100)*100)*0.15)</f>
        <v>9.5590909090909104</v>
      </c>
      <c r="I21" s="25"/>
      <c r="J21" s="25">
        <f>71.9*0.35</f>
        <v>25.164999999999999</v>
      </c>
      <c r="K21" s="25"/>
      <c r="L21" s="25">
        <f>60*0.4</f>
        <v>24</v>
      </c>
      <c r="M21" s="25">
        <f>G21+H21+I21+J21+K21+L21</f>
        <v>65.978636363636369</v>
      </c>
      <c r="N21" s="25" t="s">
        <v>15</v>
      </c>
      <c r="Q21" s="14"/>
    </row>
    <row r="22" spans="1:17" s="15" customFormat="1" ht="20.5" x14ac:dyDescent="0.45">
      <c r="A22" s="18">
        <v>16</v>
      </c>
      <c r="B22" s="18">
        <v>14386</v>
      </c>
      <c r="C22" s="29" t="s">
        <v>50</v>
      </c>
      <c r="D22" s="29" t="s">
        <v>91</v>
      </c>
      <c r="E22" s="25" t="s">
        <v>13</v>
      </c>
      <c r="F22" s="25" t="s">
        <v>16</v>
      </c>
      <c r="G22" s="25">
        <f>(((848/1100)*100)*0.1)</f>
        <v>7.7090909090909099</v>
      </c>
      <c r="H22" s="25">
        <f>(((691/1100)*100)*0.15)</f>
        <v>9.422727272727272</v>
      </c>
      <c r="I22" s="25"/>
      <c r="J22" s="25">
        <f>76.8*0.35</f>
        <v>26.88</v>
      </c>
      <c r="K22" s="25"/>
      <c r="L22" s="25">
        <f>54*0.4</f>
        <v>21.6</v>
      </c>
      <c r="M22" s="25">
        <f>G22+H22+I22+J22+K22+L22</f>
        <v>65.611818181818194</v>
      </c>
      <c r="N22" s="25" t="s">
        <v>15</v>
      </c>
      <c r="O22" s="21"/>
      <c r="Q22" s="14"/>
    </row>
    <row r="23" spans="1:17" ht="21.5" customHeight="1" x14ac:dyDescent="0.45">
      <c r="A23" s="18">
        <v>17</v>
      </c>
      <c r="B23" s="18">
        <v>14331</v>
      </c>
      <c r="C23" s="29" t="s">
        <v>40</v>
      </c>
      <c r="D23" s="29" t="s">
        <v>82</v>
      </c>
      <c r="E23" s="25"/>
      <c r="F23" s="25" t="s">
        <v>16</v>
      </c>
      <c r="G23" s="25">
        <f>(((941/1100)*100)*0.1)</f>
        <v>8.5545454545454547</v>
      </c>
      <c r="H23" s="25">
        <f>(((838/1100)*100)*0.15)</f>
        <v>11.427272727272728</v>
      </c>
      <c r="I23" s="25"/>
      <c r="J23" s="25">
        <f>69.5*0.35</f>
        <v>24.324999999999999</v>
      </c>
      <c r="K23" s="25"/>
      <c r="L23" s="25">
        <f>53*0.4</f>
        <v>21.200000000000003</v>
      </c>
      <c r="M23" s="25">
        <f>G23+H23+I23+J23+K23+L23</f>
        <v>65.50681818181819</v>
      </c>
      <c r="N23" s="25" t="s">
        <v>15</v>
      </c>
      <c r="Q23" s="13"/>
    </row>
    <row r="24" spans="1:17" s="15" customFormat="1" ht="20.5" x14ac:dyDescent="0.45">
      <c r="A24" s="18">
        <v>18</v>
      </c>
      <c r="B24" s="18">
        <v>13378</v>
      </c>
      <c r="C24" s="29" t="s">
        <v>60</v>
      </c>
      <c r="D24" s="29" t="s">
        <v>117</v>
      </c>
      <c r="E24" s="24" t="s">
        <v>17</v>
      </c>
      <c r="F24" s="25" t="s">
        <v>16</v>
      </c>
      <c r="G24" s="25">
        <f>(((662/850)*100)*0.1)</f>
        <v>7.7882352941176469</v>
      </c>
      <c r="H24" s="25">
        <f>(((638/1100)*100)*0.15)</f>
        <v>8.6999999999999993</v>
      </c>
      <c r="I24" s="25">
        <f>(((442/900)*100)*0.15)</f>
        <v>7.3666666666666671</v>
      </c>
      <c r="J24" s="25"/>
      <c r="K24" s="25">
        <f>(64*0.2)</f>
        <v>12.8</v>
      </c>
      <c r="L24" s="25">
        <f>70*0.4</f>
        <v>28</v>
      </c>
      <c r="M24" s="25">
        <f>G24+H24+I24+J24+K24+L24</f>
        <v>64.654901960784315</v>
      </c>
      <c r="N24" s="24" t="s">
        <v>15</v>
      </c>
      <c r="Q24" s="14"/>
    </row>
    <row r="25" spans="1:17" ht="22" customHeight="1" x14ac:dyDescent="0.45">
      <c r="A25" s="18">
        <v>19</v>
      </c>
      <c r="B25" s="18">
        <v>14379</v>
      </c>
      <c r="C25" s="29" t="s">
        <v>111</v>
      </c>
      <c r="D25" s="29" t="s">
        <v>82</v>
      </c>
      <c r="E25" s="25" t="s">
        <v>17</v>
      </c>
      <c r="F25" s="25" t="s">
        <v>16</v>
      </c>
      <c r="G25" s="25">
        <f>(((672/1100)*100)*0.1)</f>
        <v>6.1090909090909093</v>
      </c>
      <c r="H25" s="25">
        <f>(((726/1100)*100)*0.15)</f>
        <v>9.9</v>
      </c>
      <c r="I25" s="25"/>
      <c r="J25" s="25">
        <f>(76.5*0.35)</f>
        <v>26.774999999999999</v>
      </c>
      <c r="K25" s="25"/>
      <c r="L25" s="25">
        <f>53*0.4</f>
        <v>21.200000000000003</v>
      </c>
      <c r="M25" s="25">
        <f>G25+H25+I25+J25+K25+L25</f>
        <v>63.984090909090909</v>
      </c>
      <c r="N25" s="24" t="s">
        <v>15</v>
      </c>
      <c r="Q25" s="13"/>
    </row>
    <row r="26" spans="1:17" ht="20.5" x14ac:dyDescent="0.45">
      <c r="A26" s="18">
        <v>20</v>
      </c>
      <c r="B26" s="18">
        <v>12375</v>
      </c>
      <c r="C26" s="29" t="s">
        <v>64</v>
      </c>
      <c r="D26" s="29" t="s">
        <v>103</v>
      </c>
      <c r="E26" s="24"/>
      <c r="F26" s="25" t="s">
        <v>16</v>
      </c>
      <c r="G26" s="25">
        <f>(((677/1100)*100)*0.1)</f>
        <v>6.1545454545454552</v>
      </c>
      <c r="H26" s="25">
        <f>(((612/1100)*100)*0.15)</f>
        <v>8.3454545454545457</v>
      </c>
      <c r="I26" s="25"/>
      <c r="J26" s="24">
        <f>(((3249/4800)*100)*0.35)</f>
        <v>23.690624999999997</v>
      </c>
      <c r="K26" s="25"/>
      <c r="L26" s="25">
        <f>63*0.4</f>
        <v>25.200000000000003</v>
      </c>
      <c r="M26" s="25">
        <f>G26+H26+I26+J26+K26+L26</f>
        <v>63.390625</v>
      </c>
      <c r="N26" s="24" t="s">
        <v>15</v>
      </c>
      <c r="Q26" s="13"/>
    </row>
    <row r="27" spans="1:17" s="15" customFormat="1" ht="25" customHeight="1" x14ac:dyDescent="0.45">
      <c r="A27" s="18">
        <v>21</v>
      </c>
      <c r="B27" s="18">
        <v>14383</v>
      </c>
      <c r="C27" s="29" t="s">
        <v>49</v>
      </c>
      <c r="D27" s="29" t="s">
        <v>90</v>
      </c>
      <c r="E27" s="25" t="s">
        <v>13</v>
      </c>
      <c r="F27" s="25" t="s">
        <v>16</v>
      </c>
      <c r="G27" s="25">
        <f>(((781/1100)*100)*0.1)</f>
        <v>7.1000000000000005</v>
      </c>
      <c r="H27" s="25">
        <f>(((698/1100)*100)*0.15)</f>
        <v>9.5181818181818176</v>
      </c>
      <c r="I27" s="25"/>
      <c r="J27" s="25">
        <f>74.4*0.35</f>
        <v>26.04</v>
      </c>
      <c r="K27" s="25"/>
      <c r="L27" s="25">
        <f>50*0.4</f>
        <v>20</v>
      </c>
      <c r="M27" s="25">
        <f>G27+H27+I27+J27+K27+L27</f>
        <v>62.658181818181816</v>
      </c>
      <c r="N27" s="25" t="s">
        <v>15</v>
      </c>
      <c r="Q27" s="14"/>
    </row>
    <row r="28" spans="1:17" ht="20.5" x14ac:dyDescent="0.45">
      <c r="A28" s="18">
        <v>22</v>
      </c>
      <c r="B28" s="19">
        <v>14832</v>
      </c>
      <c r="C28" s="29" t="s">
        <v>124</v>
      </c>
      <c r="D28" s="29" t="s">
        <v>24</v>
      </c>
      <c r="E28" s="24" t="s">
        <v>13</v>
      </c>
      <c r="F28" s="25" t="s">
        <v>16</v>
      </c>
      <c r="G28" s="24">
        <f>(((651/1050)*100)*0.1)</f>
        <v>6.2</v>
      </c>
      <c r="H28" s="24">
        <f>(((554/1100)*100)*0.15)</f>
        <v>7.5545454545454547</v>
      </c>
      <c r="I28" s="25"/>
      <c r="J28" s="24">
        <f>68.8*0.35</f>
        <v>24.08</v>
      </c>
      <c r="K28" s="25"/>
      <c r="L28" s="24">
        <f>62*0.4</f>
        <v>24.8</v>
      </c>
      <c r="M28" s="24">
        <f>G28+H28+I28+J28+K28+L28</f>
        <v>62.634545454545446</v>
      </c>
      <c r="N28" s="25" t="s">
        <v>15</v>
      </c>
      <c r="Q28" s="13"/>
    </row>
    <row r="29" spans="1:17" s="15" customFormat="1" ht="20.5" x14ac:dyDescent="0.45">
      <c r="A29" s="18">
        <v>23</v>
      </c>
      <c r="B29" s="18">
        <v>14406</v>
      </c>
      <c r="C29" s="29" t="s">
        <v>46</v>
      </c>
      <c r="D29" s="29" t="s">
        <v>87</v>
      </c>
      <c r="E29" s="25" t="s">
        <v>13</v>
      </c>
      <c r="F29" s="25" t="s">
        <v>16</v>
      </c>
      <c r="G29" s="25">
        <f>(((762/1100)*100)*0.1)</f>
        <v>6.9272727272727286</v>
      </c>
      <c r="H29" s="25">
        <f>(((746/1100)*100)*0.15)</f>
        <v>10.172727272727274</v>
      </c>
      <c r="I29" s="25"/>
      <c r="J29" s="25">
        <f>(68.1*0.35)</f>
        <v>23.834999999999997</v>
      </c>
      <c r="K29" s="25"/>
      <c r="L29" s="25">
        <f>54*0.4</f>
        <v>21.6</v>
      </c>
      <c r="M29" s="25">
        <f>G29+H29+I29+J29+K29+L29</f>
        <v>62.535000000000004</v>
      </c>
      <c r="N29" s="25" t="s">
        <v>15</v>
      </c>
      <c r="Q29" s="14"/>
    </row>
    <row r="30" spans="1:17" s="15" customFormat="1" ht="20.5" x14ac:dyDescent="0.45">
      <c r="A30" s="18">
        <v>24</v>
      </c>
      <c r="B30" s="18">
        <v>11762</v>
      </c>
      <c r="C30" s="29" t="s">
        <v>42</v>
      </c>
      <c r="D30" s="29" t="s">
        <v>83</v>
      </c>
      <c r="E30" s="25" t="s">
        <v>13</v>
      </c>
      <c r="F30" s="25" t="s">
        <v>16</v>
      </c>
      <c r="G30" s="25">
        <f>(((886/1100)*100)*0.1)</f>
        <v>8.0545454545454547</v>
      </c>
      <c r="H30" s="25">
        <f>(((799/1100)*100)*0.15)</f>
        <v>10.895454545454543</v>
      </c>
      <c r="I30" s="25">
        <f>(((503/900)*100)*0.15)</f>
        <v>8.3833333333333329</v>
      </c>
      <c r="J30" s="25"/>
      <c r="K30" s="25">
        <f>(((2564/3500)*100)*0.2)</f>
        <v>14.651428571428571</v>
      </c>
      <c r="L30" s="25">
        <f>50*0.4</f>
        <v>20</v>
      </c>
      <c r="M30" s="25">
        <f>G30+H30+I30+J30+K30+L30</f>
        <v>61.984761904761896</v>
      </c>
      <c r="N30" s="25" t="s">
        <v>15</v>
      </c>
      <c r="Q30" s="14"/>
    </row>
    <row r="31" spans="1:17" s="15" customFormat="1" ht="20.5" x14ac:dyDescent="0.45">
      <c r="A31" s="18">
        <v>25</v>
      </c>
      <c r="B31" s="18">
        <v>14234</v>
      </c>
      <c r="C31" s="29" t="s">
        <v>66</v>
      </c>
      <c r="D31" s="29" t="s">
        <v>118</v>
      </c>
      <c r="E31" s="24"/>
      <c r="F31" s="25" t="s">
        <v>16</v>
      </c>
      <c r="G31" s="25">
        <f>(((585/1100)*100)*0.1)</f>
        <v>5.3181818181818192</v>
      </c>
      <c r="H31" s="25">
        <f>(((577/1100)*100)*0.15)</f>
        <v>7.8681818181818173</v>
      </c>
      <c r="I31" s="25"/>
      <c r="J31" s="24">
        <f>(((3798/4700)*100)*0.35)</f>
        <v>28.282978723404256</v>
      </c>
      <c r="K31" s="25"/>
      <c r="L31" s="25">
        <f>50*0.4</f>
        <v>20</v>
      </c>
      <c r="M31" s="25">
        <f>G31+H31+I31+J31+K31+L31</f>
        <v>61.469342359767893</v>
      </c>
      <c r="N31" s="25" t="s">
        <v>15</v>
      </c>
      <c r="Q31" s="14"/>
    </row>
    <row r="32" spans="1:17" ht="20.5" x14ac:dyDescent="0.45">
      <c r="A32" s="18">
        <v>26</v>
      </c>
      <c r="B32" s="18">
        <v>14372</v>
      </c>
      <c r="C32" s="29" t="s">
        <v>65</v>
      </c>
      <c r="D32" s="29" t="s">
        <v>104</v>
      </c>
      <c r="E32" s="24"/>
      <c r="F32" s="25" t="s">
        <v>16</v>
      </c>
      <c r="G32" s="25">
        <f>(((850/1100)*100)*0.1)</f>
        <v>7.7272727272727266</v>
      </c>
      <c r="H32" s="25">
        <f>(((606/1100)*100)*0.15)</f>
        <v>8.2636363636363637</v>
      </c>
      <c r="I32" s="25"/>
      <c r="J32" s="24">
        <f>(((3482/4800)*100)*0.35)</f>
        <v>25.389583333333334</v>
      </c>
      <c r="K32" s="25"/>
      <c r="L32" s="25">
        <f>50*0.4</f>
        <v>20</v>
      </c>
      <c r="M32" s="25">
        <f>G32+H32+I32+J32+K32+L32</f>
        <v>61.380492424242426</v>
      </c>
      <c r="N32" s="25" t="s">
        <v>15</v>
      </c>
      <c r="Q32" s="13"/>
    </row>
    <row r="33" spans="1:17" ht="20.5" x14ac:dyDescent="0.45">
      <c r="A33" s="18">
        <v>27</v>
      </c>
      <c r="B33" s="18">
        <v>14015</v>
      </c>
      <c r="C33" s="29" t="s">
        <v>23</v>
      </c>
      <c r="D33" s="29" t="s">
        <v>25</v>
      </c>
      <c r="E33" s="25" t="s">
        <v>13</v>
      </c>
      <c r="F33" s="25" t="s">
        <v>16</v>
      </c>
      <c r="G33" s="25">
        <f>(((890/1050)*100)*0.1)</f>
        <v>8.4761904761904763</v>
      </c>
      <c r="H33" s="25">
        <f>(((742/1100)*100)*0.15)</f>
        <v>10.118181818181817</v>
      </c>
      <c r="I33" s="25">
        <f>(((436/900)*100)*0.15)</f>
        <v>7.2666666666666657</v>
      </c>
      <c r="J33" s="25"/>
      <c r="K33" s="25">
        <f>(((1651/2300)*100)*0.2)</f>
        <v>14.356521739130436</v>
      </c>
      <c r="L33" s="25">
        <f>52*0.4</f>
        <v>20.8</v>
      </c>
      <c r="M33" s="25">
        <f>G33+H33+I33+J33+K33+L33</f>
        <v>61.017560700169398</v>
      </c>
      <c r="N33" s="25" t="s">
        <v>15</v>
      </c>
      <c r="Q33" s="13"/>
    </row>
    <row r="34" spans="1:17" s="15" customFormat="1" ht="20.5" x14ac:dyDescent="0.45">
      <c r="A34" s="18">
        <v>28</v>
      </c>
      <c r="B34" s="18">
        <v>13838</v>
      </c>
      <c r="C34" s="29" t="s">
        <v>51</v>
      </c>
      <c r="D34" s="29" t="s">
        <v>92</v>
      </c>
      <c r="E34" s="25" t="s">
        <v>17</v>
      </c>
      <c r="F34" s="25" t="s">
        <v>16</v>
      </c>
      <c r="G34" s="25">
        <f>(((709/1100)*100)*0.1)</f>
        <v>6.4454545454545453</v>
      </c>
      <c r="H34" s="25">
        <f>(((688/1100)*100)*0.15)</f>
        <v>9.3818181818181809</v>
      </c>
      <c r="I34" s="25"/>
      <c r="J34" s="25">
        <f>(((3418/4800)*100)*0.35)</f>
        <v>24.922916666666662</v>
      </c>
      <c r="K34" s="25"/>
      <c r="L34" s="25">
        <f>50*0.4</f>
        <v>20</v>
      </c>
      <c r="M34" s="25">
        <f>G34+H34+I34+J34+K34+L34</f>
        <v>60.750189393939387</v>
      </c>
      <c r="N34" s="25" t="s">
        <v>15</v>
      </c>
      <c r="Q34" s="14"/>
    </row>
    <row r="35" spans="1:17" ht="41" x14ac:dyDescent="0.45">
      <c r="A35" s="18">
        <v>29</v>
      </c>
      <c r="B35" s="18">
        <v>14322</v>
      </c>
      <c r="C35" s="29" t="s">
        <v>43</v>
      </c>
      <c r="D35" s="29" t="s">
        <v>84</v>
      </c>
      <c r="E35" s="24" t="s">
        <v>13</v>
      </c>
      <c r="F35" s="25" t="s">
        <v>16</v>
      </c>
      <c r="G35" s="24">
        <f>(((774/1100)*100)*0.1)</f>
        <v>7.0363636363636362</v>
      </c>
      <c r="H35" s="24">
        <f>(((796/1100)*100)*0.15)</f>
        <v>10.854545454545454</v>
      </c>
      <c r="I35" s="24"/>
      <c r="J35" s="25">
        <f>64*0.35</f>
        <v>22.4</v>
      </c>
      <c r="K35" s="24"/>
      <c r="L35" s="25">
        <f>51*0.4</f>
        <v>20.400000000000002</v>
      </c>
      <c r="M35" s="24">
        <f>G35+H35+I35+J35+K35+L35</f>
        <v>60.690909090909088</v>
      </c>
      <c r="N35" s="25" t="s">
        <v>15</v>
      </c>
      <c r="Q35" s="13"/>
    </row>
    <row r="36" spans="1:17" s="15" customFormat="1" ht="20.5" x14ac:dyDescent="0.45">
      <c r="A36" s="18">
        <v>30</v>
      </c>
      <c r="B36" s="18">
        <v>14320</v>
      </c>
      <c r="C36" s="29" t="s">
        <v>45</v>
      </c>
      <c r="D36" s="29" t="s">
        <v>86</v>
      </c>
      <c r="E36" s="25" t="s">
        <v>13</v>
      </c>
      <c r="F36" s="25" t="s">
        <v>16</v>
      </c>
      <c r="G36" s="25">
        <f>(((705/1100)*100)*0.1)</f>
        <v>6.4090909090909101</v>
      </c>
      <c r="H36" s="25">
        <f>(((751/1100)*100)*0.15)</f>
        <v>10.240909090909092</v>
      </c>
      <c r="I36" s="25"/>
      <c r="J36" s="25">
        <f>(((3275/4800)*100)*0.35)</f>
        <v>23.880208333333329</v>
      </c>
      <c r="K36" s="25"/>
      <c r="L36" s="25">
        <f>50*0.4</f>
        <v>20</v>
      </c>
      <c r="M36" s="25">
        <f>G36+H36+I36+J36+K36+L36</f>
        <v>60.530208333333334</v>
      </c>
      <c r="N36" s="25" t="s">
        <v>15</v>
      </c>
      <c r="Q36" s="14"/>
    </row>
    <row r="37" spans="1:17" s="15" customFormat="1" ht="20.5" x14ac:dyDescent="0.45">
      <c r="A37" s="18">
        <v>31</v>
      </c>
      <c r="B37" s="18">
        <v>14374</v>
      </c>
      <c r="C37" s="29" t="s">
        <v>62</v>
      </c>
      <c r="D37" s="29" t="s">
        <v>101</v>
      </c>
      <c r="E37" s="24" t="s">
        <v>13</v>
      </c>
      <c r="F37" s="25" t="s">
        <v>16</v>
      </c>
      <c r="G37" s="25">
        <f>(((662/1100)*100)*0.1)</f>
        <v>6.0181818181818185</v>
      </c>
      <c r="H37" s="25">
        <f>(((621/1100)*100)*0.15)</f>
        <v>8.4681818181818187</v>
      </c>
      <c r="I37" s="26"/>
      <c r="J37" s="25">
        <f>73.6*0.35</f>
        <v>25.759999999999998</v>
      </c>
      <c r="K37" s="26"/>
      <c r="L37" s="25">
        <f>50*0.4</f>
        <v>20</v>
      </c>
      <c r="M37" s="25">
        <f>G37+H37+I37+J37+K37+L37</f>
        <v>60.24636363636364</v>
      </c>
      <c r="N37" s="25" t="s">
        <v>26</v>
      </c>
      <c r="Q37" s="14"/>
    </row>
    <row r="38" spans="1:17" ht="20.5" x14ac:dyDescent="0.45">
      <c r="A38" s="18">
        <v>32</v>
      </c>
      <c r="B38" s="18">
        <v>14171</v>
      </c>
      <c r="C38" s="29" t="s">
        <v>57</v>
      </c>
      <c r="D38" s="29" t="s">
        <v>98</v>
      </c>
      <c r="E38" s="24" t="s">
        <v>13</v>
      </c>
      <c r="F38" s="25" t="s">
        <v>16</v>
      </c>
      <c r="G38" s="25">
        <f>(((847/1100)*100)*0.1)</f>
        <v>7.7</v>
      </c>
      <c r="H38" s="25">
        <f>(((642/1100)*100)*0.15)</f>
        <v>8.754545454545454</v>
      </c>
      <c r="I38" s="25"/>
      <c r="J38" s="27">
        <f>67*0.35</f>
        <v>23.45</v>
      </c>
      <c r="K38" s="25"/>
      <c r="L38" s="25">
        <v>20</v>
      </c>
      <c r="M38" s="25">
        <f>G38+H38+I38+J38+K38+L38</f>
        <v>59.904545454545456</v>
      </c>
      <c r="N38" s="24" t="s">
        <v>26</v>
      </c>
      <c r="Q38" s="13"/>
    </row>
    <row r="39" spans="1:17" ht="20.5" x14ac:dyDescent="0.45">
      <c r="A39" s="18">
        <v>33</v>
      </c>
      <c r="B39" s="18">
        <v>14324</v>
      </c>
      <c r="C39" s="29" t="s">
        <v>54</v>
      </c>
      <c r="D39" s="29" t="s">
        <v>95</v>
      </c>
      <c r="E39" s="25" t="s">
        <v>13</v>
      </c>
      <c r="F39" s="25" t="s">
        <v>16</v>
      </c>
      <c r="G39" s="25">
        <f>(((800/1100)*100)*0.1)</f>
        <v>7.2727272727272734</v>
      </c>
      <c r="H39" s="25">
        <f>(((669/1100)*100)*0.15)</f>
        <v>9.1227272727272712</v>
      </c>
      <c r="I39" s="25"/>
      <c r="J39" s="25">
        <f>(((3200/4800)*100)*0.35)</f>
        <v>23.333333333333329</v>
      </c>
      <c r="K39" s="25"/>
      <c r="L39" s="25">
        <f>50*0.4</f>
        <v>20</v>
      </c>
      <c r="M39" s="25">
        <f>G39+H39+I39+J39+K39+L39</f>
        <v>59.72878787878787</v>
      </c>
      <c r="N39" s="25" t="s">
        <v>26</v>
      </c>
      <c r="Q39" s="13"/>
    </row>
    <row r="40" spans="1:17" ht="20.5" x14ac:dyDescent="0.45">
      <c r="A40" s="18">
        <v>34</v>
      </c>
      <c r="B40" s="18">
        <v>14281</v>
      </c>
      <c r="C40" s="29" t="s">
        <v>68</v>
      </c>
      <c r="D40" s="29" t="s">
        <v>106</v>
      </c>
      <c r="E40" s="24" t="s">
        <v>13</v>
      </c>
      <c r="F40" s="25" t="s">
        <v>16</v>
      </c>
      <c r="G40" s="25">
        <f>(((703/1050)*100)*0.1)</f>
        <v>6.6952380952380954</v>
      </c>
      <c r="H40" s="25">
        <f>(((557/1100)*100)*0.15)</f>
        <v>7.5954545454545448</v>
      </c>
      <c r="I40" s="25">
        <f>(((453/900)*100)*0.15)</f>
        <v>7.5499999999999989</v>
      </c>
      <c r="J40" s="25"/>
      <c r="K40" s="25">
        <f>(((1459/2300)*100)*0.2)</f>
        <v>12.68695652173913</v>
      </c>
      <c r="L40" s="25">
        <f>63*0.4</f>
        <v>25.200000000000003</v>
      </c>
      <c r="M40" s="25">
        <f>G40+H40+I40+J40+K40+L40</f>
        <v>59.727649162431774</v>
      </c>
      <c r="N40" s="25" t="s">
        <v>26</v>
      </c>
      <c r="Q40" s="13"/>
    </row>
    <row r="41" spans="1:17" s="15" customFormat="1" ht="41" x14ac:dyDescent="0.45">
      <c r="A41" s="18">
        <v>35</v>
      </c>
      <c r="B41" s="18">
        <v>14376</v>
      </c>
      <c r="C41" s="29" t="s">
        <v>63</v>
      </c>
      <c r="D41" s="29" t="s">
        <v>102</v>
      </c>
      <c r="E41" s="24" t="s">
        <v>17</v>
      </c>
      <c r="F41" s="25" t="s">
        <v>16</v>
      </c>
      <c r="G41" s="25">
        <f>(((896/1100)*100)*0.1)</f>
        <v>8.1454545454545464</v>
      </c>
      <c r="H41" s="25">
        <f>(((619/1100)*100)*0.15)</f>
        <v>8.4409090909090914</v>
      </c>
      <c r="I41" s="25"/>
      <c r="J41" s="24">
        <f>(((3165/4800)*100)*0.35)</f>
        <v>23.078125</v>
      </c>
      <c r="K41" s="25"/>
      <c r="L41" s="25">
        <f>50*0.4</f>
        <v>20</v>
      </c>
      <c r="M41" s="25">
        <f>G41+H41+I41+J41+K41+L41</f>
        <v>59.664488636363636</v>
      </c>
      <c r="N41" s="25" t="s">
        <v>26</v>
      </c>
      <c r="Q41" s="14"/>
    </row>
    <row r="42" spans="1:17" ht="20.5" x14ac:dyDescent="0.45">
      <c r="A42" s="18">
        <v>36</v>
      </c>
      <c r="B42" s="18">
        <v>14403</v>
      </c>
      <c r="C42" s="29" t="s">
        <v>55</v>
      </c>
      <c r="D42" s="29" t="s">
        <v>96</v>
      </c>
      <c r="E42" s="25" t="s">
        <v>17</v>
      </c>
      <c r="F42" s="25" t="s">
        <v>16</v>
      </c>
      <c r="G42" s="25">
        <f>(((868/1050)*100)*0.1)</f>
        <v>8.2666666666666675</v>
      </c>
      <c r="H42" s="25">
        <f>(((664/1100)*100)*0.15)</f>
        <v>9.0545454545454547</v>
      </c>
      <c r="I42" s="25"/>
      <c r="J42" s="25">
        <f>(((3054/4800)*100)*0.35)</f>
        <v>22.268749999999997</v>
      </c>
      <c r="K42" s="25"/>
      <c r="L42" s="25">
        <f>50*0.4</f>
        <v>20</v>
      </c>
      <c r="M42" s="25">
        <f>G42+H42+I42+J42+K42+L42</f>
        <v>59.589962121212118</v>
      </c>
      <c r="N42" s="25" t="s">
        <v>26</v>
      </c>
      <c r="Q42" s="13"/>
    </row>
    <row r="43" spans="1:17" s="23" customFormat="1" ht="20.5" x14ac:dyDescent="0.45">
      <c r="A43" s="18">
        <v>37</v>
      </c>
      <c r="B43" s="18">
        <v>14346</v>
      </c>
      <c r="C43" s="29" t="s">
        <v>58</v>
      </c>
      <c r="D43" s="29" t="s">
        <v>99</v>
      </c>
      <c r="E43" s="24" t="s">
        <v>17</v>
      </c>
      <c r="F43" s="25" t="s">
        <v>16</v>
      </c>
      <c r="G43" s="25">
        <f>(((767/1100)*100)*0.1)</f>
        <v>6.9727272727272727</v>
      </c>
      <c r="H43" s="25">
        <f>(((641/1100)*100)*0.15)</f>
        <v>8.7409090909090903</v>
      </c>
      <c r="I43" s="25"/>
      <c r="J43" s="24">
        <f>(((3194/4800)*100)*0.35)</f>
        <v>23.289583333333333</v>
      </c>
      <c r="K43" s="25"/>
      <c r="L43" s="25">
        <f>51*0.4</f>
        <v>20.400000000000002</v>
      </c>
      <c r="M43" s="25">
        <f>G43+H43+I43+J43+K43+L43</f>
        <v>59.4032196969697</v>
      </c>
      <c r="N43" s="25" t="s">
        <v>26</v>
      </c>
      <c r="Q43" s="22"/>
    </row>
    <row r="44" spans="1:17" ht="21.5" customHeight="1" x14ac:dyDescent="0.45">
      <c r="A44" s="18">
        <v>39</v>
      </c>
      <c r="B44" s="18">
        <v>12506</v>
      </c>
      <c r="C44" s="29" t="s">
        <v>61</v>
      </c>
      <c r="D44" s="29" t="s">
        <v>119</v>
      </c>
      <c r="E44" s="24" t="s">
        <v>13</v>
      </c>
      <c r="F44" s="25" t="s">
        <v>16</v>
      </c>
      <c r="G44" s="25">
        <f>(((659/1100)*100)*0.1)</f>
        <v>5.9909090909090921</v>
      </c>
      <c r="H44" s="25">
        <f>(((632/1100)*100)*0.15)</f>
        <v>8.6181818181818191</v>
      </c>
      <c r="I44" s="25"/>
      <c r="J44" s="24">
        <f>(70*0.35)</f>
        <v>24.5</v>
      </c>
      <c r="K44" s="25"/>
      <c r="L44" s="25">
        <f>50*0.4</f>
        <v>20</v>
      </c>
      <c r="M44" s="25">
        <f>G44+H44+I44+J44+K44+L44</f>
        <v>59.109090909090909</v>
      </c>
      <c r="N44" s="25" t="s">
        <v>26</v>
      </c>
      <c r="Q44" s="13"/>
    </row>
    <row r="45" spans="1:17" s="15" customFormat="1" ht="27.5" customHeight="1" x14ac:dyDescent="0.45">
      <c r="A45" s="18">
        <v>40</v>
      </c>
      <c r="B45" s="18">
        <v>11612</v>
      </c>
      <c r="C45" s="29" t="s">
        <v>67</v>
      </c>
      <c r="D45" s="29" t="s">
        <v>105</v>
      </c>
      <c r="E45" s="24" t="s">
        <v>13</v>
      </c>
      <c r="F45" s="25" t="s">
        <v>16</v>
      </c>
      <c r="G45" s="25">
        <f>(((593/1100)*100)*0.1)</f>
        <v>5.3909090909090907</v>
      </c>
      <c r="H45" s="25">
        <f>(((575/1100)*100)*0.15)</f>
        <v>7.8409090909090908</v>
      </c>
      <c r="I45" s="25">
        <f>(((409/900)*100)*0.15)</f>
        <v>6.8166666666666664</v>
      </c>
      <c r="J45" s="25"/>
      <c r="K45" s="25">
        <f>(((1550/2300)*100)*0.2)</f>
        <v>13.478260869565219</v>
      </c>
      <c r="L45" s="25">
        <f>63*0.4</f>
        <v>25.200000000000003</v>
      </c>
      <c r="M45" s="25">
        <f>G45+H45+I45+J45+K45+L45</f>
        <v>58.726745718050068</v>
      </c>
      <c r="N45" s="25" t="s">
        <v>26</v>
      </c>
      <c r="Q45" s="14"/>
    </row>
    <row r="46" spans="1:17" s="15" customFormat="1" ht="20.5" x14ac:dyDescent="0.45">
      <c r="A46" s="18">
        <v>41</v>
      </c>
      <c r="B46" s="18">
        <v>12211</v>
      </c>
      <c r="C46" s="29" t="s">
        <v>53</v>
      </c>
      <c r="D46" s="29" t="s">
        <v>94</v>
      </c>
      <c r="E46" s="25" t="s">
        <v>13</v>
      </c>
      <c r="F46" s="25" t="s">
        <v>16</v>
      </c>
      <c r="G46" s="25">
        <f>(((651/1100)*100)*0.1)</f>
        <v>5.918181818181818</v>
      </c>
      <c r="H46" s="25">
        <f>(((670/1100)*100)*0.15)</f>
        <v>9.1363636363636367</v>
      </c>
      <c r="I46" s="25">
        <f>(((554/900)*100)*0.15)</f>
        <v>9.2333333333333325</v>
      </c>
      <c r="J46" s="25"/>
      <c r="K46" s="25">
        <f>(((1616/2300)*100)*0.2)</f>
        <v>14.052173913043479</v>
      </c>
      <c r="L46" s="25">
        <f>50*0.4</f>
        <v>20</v>
      </c>
      <c r="M46" s="25">
        <f>G46+H46+I46+J46+K46+L46</f>
        <v>58.340052700922271</v>
      </c>
      <c r="N46" s="25" t="s">
        <v>26</v>
      </c>
      <c r="Q46" s="14"/>
    </row>
    <row r="47" spans="1:17" s="15" customFormat="1" ht="20.5" x14ac:dyDescent="0.45">
      <c r="A47" s="18">
        <v>42</v>
      </c>
      <c r="B47" s="18">
        <v>12679</v>
      </c>
      <c r="C47" s="29" t="s">
        <v>52</v>
      </c>
      <c r="D47" s="29" t="s">
        <v>93</v>
      </c>
      <c r="E47" s="24" t="s">
        <v>13</v>
      </c>
      <c r="F47" s="25" t="s">
        <v>16</v>
      </c>
      <c r="G47" s="24">
        <f>(((790/1050)*100)*0.1)</f>
        <v>7.5238095238095246</v>
      </c>
      <c r="H47" s="24">
        <f>(((673/1100)*100)*0.15)</f>
        <v>9.1772727272727259</v>
      </c>
      <c r="I47" s="25">
        <f>(((536/900)*100)*0.15)</f>
        <v>8.9333333333333318</v>
      </c>
      <c r="J47" s="28"/>
      <c r="K47" s="25">
        <f>(((2055/3400)*100)*0.2)</f>
        <v>12.088235294117647</v>
      </c>
      <c r="L47" s="25">
        <f>51*0.4</f>
        <v>20.400000000000002</v>
      </c>
      <c r="M47" s="25">
        <f>G47+H47+I47+J47+K47+L47</f>
        <v>58.122650878533236</v>
      </c>
      <c r="N47" s="25" t="s">
        <v>26</v>
      </c>
      <c r="Q47" s="14"/>
    </row>
    <row r="48" spans="1:17" ht="20.5" x14ac:dyDescent="0.45">
      <c r="A48" s="18">
        <v>43</v>
      </c>
      <c r="B48" s="18">
        <v>14118</v>
      </c>
      <c r="C48" s="29" t="s">
        <v>70</v>
      </c>
      <c r="D48" s="29" t="s">
        <v>108</v>
      </c>
      <c r="E48" s="25" t="s">
        <v>17</v>
      </c>
      <c r="F48" s="25" t="s">
        <v>16</v>
      </c>
      <c r="G48" s="25">
        <f>(((659/1050)*100)*0.1)</f>
        <v>6.276190476190477</v>
      </c>
      <c r="H48" s="25">
        <f>(((537/1100)*100)*0.15)</f>
        <v>7.3227272727272714</v>
      </c>
      <c r="I48" s="25">
        <f>(((453/900)*100)*0.15)</f>
        <v>7.5499999999999989</v>
      </c>
      <c r="J48" s="25"/>
      <c r="K48" s="25">
        <f>(((1459/2300)*100)*0.2)</f>
        <v>12.68695652173913</v>
      </c>
      <c r="L48" s="25">
        <f>60*0.4</f>
        <v>24</v>
      </c>
      <c r="M48" s="25">
        <f>G48+H48+I48+J48+K48+L48</f>
        <v>57.835874270656873</v>
      </c>
      <c r="N48" s="25" t="s">
        <v>26</v>
      </c>
      <c r="Q48" s="13"/>
    </row>
    <row r="49" spans="1:17" s="21" customFormat="1" ht="20.5" x14ac:dyDescent="0.45">
      <c r="A49" s="18">
        <v>44</v>
      </c>
      <c r="B49" s="18">
        <v>14418</v>
      </c>
      <c r="C49" s="29" t="s">
        <v>59</v>
      </c>
      <c r="D49" s="29" t="s">
        <v>100</v>
      </c>
      <c r="E49" s="24" t="s">
        <v>13</v>
      </c>
      <c r="F49" s="25" t="s">
        <v>16</v>
      </c>
      <c r="G49" s="25">
        <f>(((789/1100)*100)*0.1)</f>
        <v>7.1727272727272737</v>
      </c>
      <c r="H49" s="25">
        <f>(((640/1100)*100)*0.15)</f>
        <v>8.7272727272727266</v>
      </c>
      <c r="I49" s="25"/>
      <c r="J49" s="24">
        <f>(62.1*0.35)</f>
        <v>21.734999999999999</v>
      </c>
      <c r="K49" s="25"/>
      <c r="L49" s="25">
        <f>50*0.4</f>
        <v>20</v>
      </c>
      <c r="M49" s="25">
        <f>G49+H49+I49+J49+K49+L49</f>
        <v>57.634999999999998</v>
      </c>
      <c r="N49" s="25" t="s">
        <v>26</v>
      </c>
      <c r="Q49" s="20"/>
    </row>
    <row r="50" spans="1:17" s="15" customFormat="1" ht="20.5" x14ac:dyDescent="0.45">
      <c r="A50" s="18">
        <v>45</v>
      </c>
      <c r="B50" s="18">
        <v>12335</v>
      </c>
      <c r="C50" s="29" t="s">
        <v>72</v>
      </c>
      <c r="D50" s="29" t="s">
        <v>109</v>
      </c>
      <c r="E50" s="24" t="s">
        <v>17</v>
      </c>
      <c r="F50" s="25" t="s">
        <v>16</v>
      </c>
      <c r="G50" s="25">
        <f>(((706/1050)*100)*0.1)</f>
        <v>6.7238095238095248</v>
      </c>
      <c r="H50" s="25">
        <f>(((495/1100)*100)*0.15)</f>
        <v>6.75</v>
      </c>
      <c r="I50" s="25">
        <f>(((503/900)*100)*0.15)</f>
        <v>8.3833333333333329</v>
      </c>
      <c r="J50" s="25"/>
      <c r="K50" s="25">
        <f>(((1678/2300)*100)*0.2)</f>
        <v>14.591304347826089</v>
      </c>
      <c r="L50" s="25">
        <f>50*0.4</f>
        <v>20</v>
      </c>
      <c r="M50" s="25">
        <f>G50+H50+I50+J50+K50+L50</f>
        <v>56.448447204968943</v>
      </c>
      <c r="N50" s="25" t="s">
        <v>26</v>
      </c>
      <c r="Q50" s="14"/>
    </row>
    <row r="51" spans="1:17" ht="26.5" customHeight="1" x14ac:dyDescent="0.45">
      <c r="A51" s="18">
        <v>46</v>
      </c>
      <c r="B51" s="18">
        <v>14311</v>
      </c>
      <c r="C51" s="29" t="s">
        <v>69</v>
      </c>
      <c r="D51" s="29" t="s">
        <v>107</v>
      </c>
      <c r="E51" s="24" t="s">
        <v>13</v>
      </c>
      <c r="F51" s="25" t="s">
        <v>16</v>
      </c>
      <c r="G51" s="25">
        <f>(((596/1100)*100)*0.1)</f>
        <v>5.4181818181818189</v>
      </c>
      <c r="H51" s="25">
        <f>(((544/1100)*100)*0.15)</f>
        <v>7.418181818181818</v>
      </c>
      <c r="I51" s="25"/>
      <c r="J51" s="24">
        <f>(((3201/4800)*100)*0.35)</f>
        <v>23.340624999999999</v>
      </c>
      <c r="K51" s="25"/>
      <c r="L51" s="25">
        <f>50*0.4</f>
        <v>20</v>
      </c>
      <c r="M51" s="25">
        <f>G51+H51+I51+J51+K51+L51</f>
        <v>56.176988636363632</v>
      </c>
      <c r="N51" s="25" t="s">
        <v>26</v>
      </c>
      <c r="Q51" s="13"/>
    </row>
    <row r="52" spans="1:17" s="15" customFormat="1" ht="20.5" x14ac:dyDescent="0.45">
      <c r="A52" s="18">
        <v>47</v>
      </c>
      <c r="B52" s="18">
        <v>11685</v>
      </c>
      <c r="C52" s="29" t="s">
        <v>28</v>
      </c>
      <c r="D52" s="29" t="s">
        <v>29</v>
      </c>
      <c r="E52" s="24" t="s">
        <v>13</v>
      </c>
      <c r="F52" s="25" t="s">
        <v>16</v>
      </c>
      <c r="G52" s="25">
        <f>(((671/1050)*100)*0.1)</f>
        <v>6.3904761904761918</v>
      </c>
      <c r="H52" s="25">
        <f>(((567/1100)*100)*0.15)</f>
        <v>7.7318181818181815</v>
      </c>
      <c r="I52" s="25">
        <f>(((445/900)*100)*0.15)</f>
        <v>7.4166666666666661</v>
      </c>
      <c r="J52" s="25"/>
      <c r="K52" s="25">
        <f>(((1503/2300)*100)*0.2)</f>
        <v>13.069565217391304</v>
      </c>
      <c r="L52" s="25">
        <f>50*0.4</f>
        <v>20</v>
      </c>
      <c r="M52" s="25">
        <f>G52+H52+I52+J52+K52+L52</f>
        <v>54.608526256352349</v>
      </c>
      <c r="N52" s="25" t="s">
        <v>26</v>
      </c>
      <c r="Q52" s="14"/>
    </row>
    <row r="53" spans="1:17" ht="20.5" x14ac:dyDescent="0.45">
      <c r="A53" s="18">
        <v>48</v>
      </c>
      <c r="B53" s="18">
        <v>11900</v>
      </c>
      <c r="C53" s="29" t="s">
        <v>71</v>
      </c>
      <c r="D53" s="29" t="s">
        <v>120</v>
      </c>
      <c r="E53" s="24" t="s">
        <v>13</v>
      </c>
      <c r="F53" s="25" t="s">
        <v>16</v>
      </c>
      <c r="G53" s="25">
        <f>(((475/850)*100)*0.1)</f>
        <v>5.5882352941176476</v>
      </c>
      <c r="H53" s="25">
        <f>(((502/1100)*100)*0.15)</f>
        <v>6.8454545454545448</v>
      </c>
      <c r="I53" s="25">
        <f>(((437/900)*100)*0.15)</f>
        <v>7.2833333333333332</v>
      </c>
      <c r="J53" s="25"/>
      <c r="K53" s="25">
        <f>(((638/1200)*100)*0.2)</f>
        <v>10.633333333333333</v>
      </c>
      <c r="L53" s="25">
        <f>60*0.4</f>
        <v>24</v>
      </c>
      <c r="M53" s="25">
        <f>G53+H53+I53+J53+K53+L53</f>
        <v>54.35035650623886</v>
      </c>
      <c r="N53" s="25" t="s">
        <v>26</v>
      </c>
      <c r="Q53" s="13"/>
    </row>
    <row r="54" spans="1:17" ht="20.5" x14ac:dyDescent="0.45">
      <c r="A54" s="18">
        <v>49</v>
      </c>
      <c r="B54" s="19">
        <v>14825</v>
      </c>
      <c r="C54" s="29" t="s">
        <v>122</v>
      </c>
      <c r="D54" s="29" t="s">
        <v>123</v>
      </c>
      <c r="E54" s="24" t="s">
        <v>13</v>
      </c>
      <c r="F54" s="25" t="s">
        <v>14</v>
      </c>
      <c r="G54" s="24">
        <f>(((643/1100)*100)*0.1)</f>
        <v>5.8454545454545466</v>
      </c>
      <c r="H54" s="24">
        <f>(((556/1100)*100)*0.15)</f>
        <v>7.581818181818182</v>
      </c>
      <c r="I54" s="25">
        <f>(((499/900)*100)*0.15)</f>
        <v>8.3166666666666664</v>
      </c>
      <c r="J54" s="24"/>
      <c r="K54" s="25">
        <f>(58*0.2)</f>
        <v>11.600000000000001</v>
      </c>
      <c r="L54" s="24">
        <f>50*0.4</f>
        <v>20</v>
      </c>
      <c r="M54" s="24">
        <f>G54+H54+I54+J54+K54+L54</f>
        <v>53.343939393939394</v>
      </c>
      <c r="N54" s="25" t="s">
        <v>26</v>
      </c>
    </row>
    <row r="55" spans="1:17" ht="20.5" x14ac:dyDescent="0.45">
      <c r="A55" s="18">
        <v>50</v>
      </c>
      <c r="B55" s="19">
        <v>14591</v>
      </c>
      <c r="C55" s="29" t="s">
        <v>56</v>
      </c>
      <c r="D55" s="29" t="s">
        <v>97</v>
      </c>
      <c r="E55" s="24" t="s">
        <v>13</v>
      </c>
      <c r="F55" s="25" t="s">
        <v>16</v>
      </c>
      <c r="G55" s="24">
        <f>(((710/1100)*100)*0.1)</f>
        <v>6.454545454545455</v>
      </c>
      <c r="H55" s="24">
        <f>(((646/1100)*100)*0.15)</f>
        <v>8.8090909090909086</v>
      </c>
      <c r="I55" s="25"/>
      <c r="J55" s="24"/>
      <c r="K55" s="25"/>
      <c r="L55" s="24">
        <f>50*0.4</f>
        <v>20</v>
      </c>
      <c r="M55" s="24">
        <f>G55+H55+I55+J55+K55+L55</f>
        <v>35.263636363636365</v>
      </c>
      <c r="N55" s="25" t="s">
        <v>112</v>
      </c>
    </row>
    <row r="58" spans="1:17" x14ac:dyDescent="0.35">
      <c r="C58" s="7"/>
      <c r="D58" s="8" t="s">
        <v>19</v>
      </c>
      <c r="E58" s="7"/>
    </row>
    <row r="59" spans="1:17" x14ac:dyDescent="0.35">
      <c r="C59" s="7"/>
      <c r="D59" s="8"/>
      <c r="E59" s="7"/>
    </row>
    <row r="60" spans="1:17" x14ac:dyDescent="0.35">
      <c r="C60" s="7"/>
      <c r="D60" s="9" t="s">
        <v>20</v>
      </c>
      <c r="E60" s="7"/>
    </row>
    <row r="61" spans="1:17" x14ac:dyDescent="0.35">
      <c r="C61" s="7"/>
      <c r="D61" s="9"/>
      <c r="E61" s="7"/>
    </row>
    <row r="62" spans="1:17" x14ac:dyDescent="0.35">
      <c r="C62" s="7"/>
      <c r="D62" s="9" t="s">
        <v>21</v>
      </c>
      <c r="E62" s="7"/>
    </row>
    <row r="63" spans="1:17" x14ac:dyDescent="0.35">
      <c r="C63" s="7"/>
      <c r="D63" s="9"/>
      <c r="E63" s="7"/>
    </row>
    <row r="64" spans="1:17" x14ac:dyDescent="0.35">
      <c r="C64" s="7"/>
      <c r="D64" s="10" t="s">
        <v>22</v>
      </c>
      <c r="E64" s="7"/>
    </row>
    <row r="65" spans="3:5" x14ac:dyDescent="0.35">
      <c r="C65" s="7"/>
      <c r="D65" s="10"/>
      <c r="E65" s="7"/>
    </row>
    <row r="87" spans="4:14" ht="15.5" x14ac:dyDescent="0.35">
      <c r="H87" s="3"/>
      <c r="I87" s="3"/>
      <c r="J87" s="3"/>
      <c r="K87" s="3"/>
      <c r="L87" s="3"/>
      <c r="M87" s="3"/>
      <c r="N87" s="4">
        <f>H87+I87+J87+K87+L87+M87</f>
        <v>0</v>
      </c>
    </row>
    <row r="88" spans="4:14" ht="15.5" x14ac:dyDescent="0.35">
      <c r="D88" s="8" t="s">
        <v>19</v>
      </c>
      <c r="H88" s="3">
        <f>((864/1100)*100)*0.1</f>
        <v>7.8545454545454554</v>
      </c>
      <c r="I88" s="3">
        <f>((912/1100)*100)*0.15</f>
        <v>12.436363636363636</v>
      </c>
      <c r="J88" s="3">
        <f>((713/900)*100)*0.15</f>
        <v>11.883333333333335</v>
      </c>
      <c r="K88" s="3">
        <v>0</v>
      </c>
      <c r="L88" s="3">
        <f>((2043/2300)*100)*0.2</f>
        <v>17.765217391304351</v>
      </c>
      <c r="M88" s="3">
        <f>((56/100)*100)*0.4</f>
        <v>22.400000000000006</v>
      </c>
      <c r="N88" s="4">
        <f>H88+I88+J88+K88+L88+M88</f>
        <v>72.339459815546775</v>
      </c>
    </row>
    <row r="89" spans="4:14" x14ac:dyDescent="0.35">
      <c r="D89" s="8"/>
      <c r="H89" s="3"/>
      <c r="I89" s="3"/>
      <c r="J89" s="3"/>
      <c r="K89" s="3"/>
      <c r="L89" s="3"/>
      <c r="M89" s="3"/>
      <c r="N89" s="3"/>
    </row>
    <row r="90" spans="4:14" x14ac:dyDescent="0.35">
      <c r="D90" s="9" t="s">
        <v>20</v>
      </c>
      <c r="H90" s="3"/>
      <c r="I90" s="3"/>
      <c r="J90" s="3"/>
      <c r="K90" s="3"/>
      <c r="L90" s="3"/>
      <c r="M90" s="3"/>
      <c r="N90" s="3"/>
    </row>
    <row r="91" spans="4:14" x14ac:dyDescent="0.35">
      <c r="D91" s="9"/>
    </row>
    <row r="92" spans="4:14" x14ac:dyDescent="0.35">
      <c r="D92" s="9" t="s">
        <v>21</v>
      </c>
      <c r="H92" s="3"/>
      <c r="I92" s="3"/>
      <c r="J92" s="3"/>
      <c r="K92" s="3"/>
      <c r="L92" s="3"/>
      <c r="M92" s="3"/>
      <c r="N92" s="3"/>
    </row>
    <row r="93" spans="4:14" x14ac:dyDescent="0.35">
      <c r="D93" s="9"/>
    </row>
    <row r="94" spans="4:14" x14ac:dyDescent="0.35">
      <c r="D94" s="10" t="s">
        <v>22</v>
      </c>
    </row>
    <row r="95" spans="4:14" x14ac:dyDescent="0.35">
      <c r="D95" s="10"/>
    </row>
  </sheetData>
  <sortState xmlns:xlrd2="http://schemas.microsoft.com/office/spreadsheetml/2017/richdata2" ref="B7:M55">
    <sortCondition descending="1" ref="M7:M55"/>
  </sortState>
  <mergeCells count="12">
    <mergeCell ref="D88:D89"/>
    <mergeCell ref="D90:D91"/>
    <mergeCell ref="D92:D93"/>
    <mergeCell ref="D94:D95"/>
    <mergeCell ref="A1:O1"/>
    <mergeCell ref="A2:O2"/>
    <mergeCell ref="A3:O3"/>
    <mergeCell ref="A4:N4"/>
    <mergeCell ref="D58:D59"/>
    <mergeCell ref="D60:D61"/>
    <mergeCell ref="D62:D63"/>
    <mergeCell ref="D64:D65"/>
  </mergeCells>
  <printOptions horizontalCentered="1"/>
  <pageMargins left="0.25" right="0.25" top="0.75" bottom="0.75" header="0.3" footer="0.3"/>
  <pageSetup paperSize="9" scale="48" orientation="landscape" r:id="rId1"/>
  <rowBreaks count="1" manualBreakCount="1">
    <brk id="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Dr. Yousaf Iqbal</cp:lastModifiedBy>
  <cp:lastPrinted>2023-11-02T08:44:00Z</cp:lastPrinted>
  <dcterms:created xsi:type="dcterms:W3CDTF">2021-11-22T16:27:07Z</dcterms:created>
  <dcterms:modified xsi:type="dcterms:W3CDTF">2023-11-04T16:47:17Z</dcterms:modified>
</cp:coreProperties>
</file>